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30720" windowHeight="13380"/>
  </bookViews>
  <sheets>
    <sheet name="涵洞清淤 合计" sheetId="9" r:id="rId1"/>
    <sheet name="G85涵洞清淤" sheetId="1" r:id="rId2"/>
    <sheet name="S30涵洞清淤" sheetId="6" r:id="rId3"/>
    <sheet name="隔离栅 拆除 (2)" sheetId="3" state="hidden" r:id="rId4"/>
    <sheet name="防撞垫、标志牌" sheetId="4" state="hidden" r:id="rId5"/>
    <sheet name="汇总合计" sheetId="5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<sst xmlns="http://schemas.openxmlformats.org/spreadsheetml/2006/main" count="239" uniqueCount="129">
  <si>
    <t>宁夏交通科学研究所有限公司2025年日常养护灵武作业站第二季度涵洞清淤劳务施工</t>
  </si>
  <si>
    <t>序号</t>
  </si>
  <si>
    <t>规格或名称</t>
  </si>
  <si>
    <t>单位</t>
  </si>
  <si>
    <t>数量</t>
  </si>
  <si>
    <t>不含税单价</t>
  </si>
  <si>
    <t>不含税总价(元）</t>
  </si>
  <si>
    <t>备注</t>
  </si>
  <si>
    <t>一</t>
  </si>
  <si>
    <t>G85涵洞清淤</t>
  </si>
  <si>
    <t>m³</t>
  </si>
  <si>
    <t>二</t>
  </si>
  <si>
    <t>S30涵洞清淤</t>
  </si>
  <si>
    <t>合计</t>
  </si>
  <si>
    <t>宁夏交通科学研究所有限公司2025年日常养护灵武作业站第二季度涵洞清淤劳务施工成本测算</t>
  </si>
  <si>
    <t>K42+810圆管涵1-1.5</t>
  </si>
  <si>
    <t>立方米</t>
  </si>
  <si>
    <t>K43+680圆管涵1-1.5</t>
  </si>
  <si>
    <t>三</t>
  </si>
  <si>
    <t>K46+290圆管涵1-1.5</t>
  </si>
  <si>
    <t>四</t>
  </si>
  <si>
    <t>K47+305圆管涵1-1.5</t>
  </si>
  <si>
    <t>五</t>
  </si>
  <si>
    <t>K50+018圆管涵1-1.5</t>
  </si>
  <si>
    <t>六</t>
  </si>
  <si>
    <t>K51+920圆管涵1-1.5</t>
  </si>
  <si>
    <t>七</t>
  </si>
  <si>
    <t>K52+360圆管涵1-1.5</t>
  </si>
  <si>
    <t>八</t>
  </si>
  <si>
    <t>K52+630圆管涵1-1.5</t>
  </si>
  <si>
    <t>九</t>
  </si>
  <si>
    <t>K52+688圆管涵1-1.5</t>
  </si>
  <si>
    <t>十</t>
  </si>
  <si>
    <t>K53+472圆管涵1-1.5</t>
  </si>
  <si>
    <t>十一</t>
  </si>
  <si>
    <t>K53+656圆管涵1-1.5</t>
  </si>
  <si>
    <t>十二</t>
  </si>
  <si>
    <t>K54+646圆管涵1-1.5</t>
  </si>
  <si>
    <t>十三</t>
  </si>
  <si>
    <t>K55+264圆管涵1-1.5</t>
  </si>
  <si>
    <t>十四</t>
  </si>
  <si>
    <t>K55+398圆管涵1-1.5</t>
  </si>
  <si>
    <t>十五</t>
  </si>
  <si>
    <t>K55+569圆管涵1-1.5</t>
  </si>
  <si>
    <t>十六</t>
  </si>
  <si>
    <t>K58+640圆管涵1-1.5</t>
  </si>
  <si>
    <t>十七</t>
  </si>
  <si>
    <t>K61+749圆管涵1-1.5</t>
  </si>
  <si>
    <t>十八</t>
  </si>
  <si>
    <t>K62+252圆管涵1-1.5</t>
  </si>
  <si>
    <t>十九</t>
  </si>
  <si>
    <t>K73+120圆管涵1-1.5</t>
  </si>
  <si>
    <t>二十</t>
  </si>
  <si>
    <t>K78+612圆管涵1-1.5</t>
  </si>
  <si>
    <t>K35+880圆管涵1-1.5</t>
  </si>
  <si>
    <t>K36+100圆管涵1-1.5</t>
  </si>
  <si>
    <t>K36+560圆管涵1-1.5</t>
  </si>
  <si>
    <t>K37+844盖板涵1-2</t>
  </si>
  <si>
    <t>K39+736盖板涵1-2</t>
  </si>
  <si>
    <t>K15+148盖板涵1-2</t>
  </si>
  <si>
    <t>K21+420盖板涵1-2</t>
  </si>
  <si>
    <t>宁夏交通科学研究所有限公司2023年日常养护交通安全设施养护劳务服务采购项目（第七批）石嘴山事业部G2004线银川绕城高速隔离栅更 换（第二批）成本测算</t>
  </si>
  <si>
    <t>单价（元）</t>
  </si>
  <si>
    <t>小计（元）</t>
  </si>
  <si>
    <t>隔离栅拆除</t>
  </si>
  <si>
    <t>m</t>
  </si>
  <si>
    <t>不含税</t>
  </si>
  <si>
    <t>人工拆除网面</t>
  </si>
  <si>
    <t>工日</t>
  </si>
  <si>
    <t>人工拆除4人，每天拆除400米</t>
  </si>
  <si>
    <t>其他材料费</t>
  </si>
  <si>
    <t>元</t>
  </si>
  <si>
    <t>网片捆绑所需的铁丝、绳索等</t>
  </si>
  <si>
    <t>汽车转运费(材料装卸费、转运费）</t>
  </si>
  <si>
    <t>台班</t>
  </si>
  <si>
    <t>材料（废旧）的转运</t>
  </si>
  <si>
    <t>双桥</t>
  </si>
  <si>
    <t>1辆双桥车，运输废旧材料转运。</t>
  </si>
  <si>
    <t>人工装卸材料（废料）</t>
  </si>
  <si>
    <t>2人装车</t>
  </si>
  <si>
    <t>伙食费</t>
  </si>
  <si>
    <t>总额</t>
  </si>
  <si>
    <t>/</t>
  </si>
  <si>
    <t>通勤车辆</t>
  </si>
  <si>
    <t>1辆面包车</t>
  </si>
  <si>
    <t>隔离栅安装</t>
  </si>
  <si>
    <t>C25基础砼材料费（斜撑）</t>
  </si>
  <si>
    <t>混凝土材料费</t>
  </si>
  <si>
    <t>C25基础砼材料费（立柱）</t>
  </si>
  <si>
    <t>C25混凝土基础施工费（包含基础开挖、土方清运及装卸、基地压实、模板加工及安装等一切相关工序）</t>
  </si>
  <si>
    <t>隔离栅基础施工、网片安装需8人，8个工日</t>
  </si>
  <si>
    <t>钢筋材料费</t>
  </si>
  <si>
    <t>t</t>
  </si>
  <si>
    <t>基础固定钢筋材料费</t>
  </si>
  <si>
    <t>钢筋加工及安装</t>
  </si>
  <si>
    <t>基础固定钢筋加工、安装费</t>
  </si>
  <si>
    <t>农用车及皮卡车</t>
  </si>
  <si>
    <t>1辆农用车，1辆皮卡车</t>
  </si>
  <si>
    <t>现场处理（除草、清理杂物等）</t>
  </si>
  <si>
    <t>2台高压气泵、发电机等</t>
  </si>
  <si>
    <t>标段总计</t>
  </si>
  <si>
    <t>宁夏交通科学研究所有限公司2023年日常养护交通安全设施养护劳务服务采购项目（第七批）可导向防撞垫安装</t>
  </si>
  <si>
    <t>可导向防撞垫（G1816）</t>
  </si>
  <si>
    <t>套</t>
  </si>
  <si>
    <t>轻卡及工人转运车</t>
  </si>
  <si>
    <t>人工</t>
  </si>
  <si>
    <t>含拆除、垃圾清理</t>
  </si>
  <si>
    <t>随车吊</t>
  </si>
  <si>
    <t>含拆除</t>
  </si>
  <si>
    <t>C30混凝土基础</t>
  </si>
  <si>
    <t>路面破碎（机械）</t>
  </si>
  <si>
    <t>垃圾转运（农用车）</t>
  </si>
  <si>
    <t>混凝土基础施工费</t>
  </si>
  <si>
    <t>基础钢筋</t>
  </si>
  <si>
    <t>宁夏交通科学研究所有限公司2023年日常养护交通安全设施养护劳务服务采购项目（第七批）标志牌安装</t>
  </si>
  <si>
    <t>单柱式标志牌φ1200</t>
  </si>
  <si>
    <t>个</t>
  </si>
  <si>
    <t>混凝土及安装人工费</t>
  </si>
  <si>
    <t>基础预埋件加工及安装</t>
  </si>
  <si>
    <t>基础及砂砾垫层</t>
  </si>
  <si>
    <t>标志安装费用</t>
  </si>
  <si>
    <t>㎡</t>
  </si>
  <si>
    <t>宁夏交通科学研究所有限公司2023年日常养护交通安全设施养护劳务服务采购项目（第七批）</t>
  </si>
  <si>
    <t>名称</t>
  </si>
  <si>
    <t>金额</t>
  </si>
  <si>
    <t>防落物网</t>
  </si>
  <si>
    <t>隔离栅</t>
  </si>
  <si>
    <t>防撞垫</t>
  </si>
  <si>
    <t>标志牌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</si>
</sst>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_ "/>
    <numFmt numFmtId="178" formatCode="0_ "/>
    <numFmt numFmtId="179" formatCode="0.0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color rgb="FFFF0000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</font>
    <font>
      <sz val="15"/>
      <color rgb="FF000000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7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176" fontId="5" fillId="2" borderId="1" xfId="0" applyNumberFormat="1" applyFont="1" applyFill="1" applyBorder="1" applyAlignment="1" applyProtection="1">
      <alignment horizontal="center" vertical="center" wrapText="1"/>
    </xf>
    <xf numFmtId="177" fontId="5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177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177" fontId="3" fillId="0" borderId="1" xfId="0" applyNumberFormat="1" applyFont="1" applyFill="1" applyBorder="1" applyAlignment="1" applyProtection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/>
    </xf>
    <xf numFmtId="179" fontId="4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77" fontId="1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77" fontId="10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7" fontId="0" fillId="0" borderId="0" xfId="0" applyNumberFormat="1" applyFill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www.wps.cn/officeDocument/2023/relationships/customStorage" Target="customStorage/customStorage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zoomScale="115" zoomScaleNormal="115" workbookViewId="0">
      <selection activeCell="I2" sqref="I2"/>
    </sheetView>
  </sheetViews>
  <sheetFormatPr defaultColWidth="9" defaultRowHeight="14.4" outlineLevelCol="6"/>
  <cols>
    <col min="1" max="1" width="12.8796296296296" style="34" customWidth="1"/>
    <col min="2" max="2" width="26.8796296296296" style="34" customWidth="1"/>
    <col min="3" max="3" width="17.1296296296296" style="34" customWidth="1"/>
    <col min="4" max="4" width="19.1296296296296" style="34" customWidth="1"/>
    <col min="5" max="6" width="17.1296296296296" style="34" customWidth="1"/>
    <col min="7" max="7" width="24.6296296296296" style="34" customWidth="1"/>
    <col min="8" max="9" width="12.6296296296296" style="34"/>
    <col min="10" max="11" width="11.5" style="34"/>
    <col min="12" max="12" width="12.6296296296296" style="34"/>
    <col min="13" max="13" width="9.37962962962963" style="34"/>
    <col min="14" max="16384" width="9" style="34"/>
  </cols>
  <sheetData>
    <row r="1" s="34" customFormat="1" ht="49" customHeight="1" spans="1:7">
      <c r="A1" s="35" t="s">
        <v>0</v>
      </c>
      <c r="B1" s="35"/>
      <c r="C1" s="35"/>
      <c r="D1" s="35"/>
      <c r="E1" s="35"/>
      <c r="F1" s="35"/>
      <c r="G1" s="35"/>
    </row>
    <row r="2" s="34" customFormat="1" ht="45" customHeight="1" spans="1:7">
      <c r="A2" s="36" t="s">
        <v>1</v>
      </c>
      <c r="B2" s="6" t="s">
        <v>2</v>
      </c>
      <c r="C2" s="36" t="s">
        <v>3</v>
      </c>
      <c r="D2" s="36" t="s">
        <v>4</v>
      </c>
      <c r="E2" s="36" t="s">
        <v>5</v>
      </c>
      <c r="F2" s="36" t="s">
        <v>6</v>
      </c>
      <c r="G2" s="36" t="s">
        <v>7</v>
      </c>
    </row>
    <row r="3" s="34" customFormat="1" ht="45" customHeight="1" spans="1:7">
      <c r="A3" s="36" t="s">
        <v>8</v>
      </c>
      <c r="B3" s="6" t="s">
        <v>9</v>
      </c>
      <c r="C3" s="36" t="s">
        <v>10</v>
      </c>
      <c r="D3" s="36">
        <v>1264.96</v>
      </c>
      <c r="E3" s="42">
        <v>260</v>
      </c>
      <c r="F3" s="43">
        <v>328889.6</v>
      </c>
      <c r="G3" s="36"/>
    </row>
    <row r="4" s="34" customFormat="1" ht="45" customHeight="1" spans="1:7">
      <c r="A4" s="36" t="s">
        <v>11</v>
      </c>
      <c r="B4" s="6" t="s">
        <v>12</v>
      </c>
      <c r="C4" s="36" t="s">
        <v>10</v>
      </c>
      <c r="D4" s="36">
        <v>975.68</v>
      </c>
      <c r="E4" s="42">
        <v>260</v>
      </c>
      <c r="F4" s="43">
        <v>253676.8</v>
      </c>
      <c r="G4" s="36"/>
    </row>
    <row r="5" s="34" customFormat="1" ht="26" customHeight="1" spans="1:7">
      <c r="A5" s="29" t="s">
        <v>13</v>
      </c>
      <c r="B5" s="30"/>
      <c r="C5" s="36"/>
      <c r="D5" s="36"/>
      <c r="E5" s="36"/>
      <c r="F5" s="36">
        <f>F3+F4</f>
        <v>582566.4</v>
      </c>
      <c r="G5" s="41"/>
    </row>
    <row r="8" spans="6:6">
      <c r="F8" s="44"/>
    </row>
    <row r="11" spans="6:6">
      <c r="F11" s="44"/>
    </row>
  </sheetData>
  <mergeCells count="2">
    <mergeCell ref="A1:G1"/>
    <mergeCell ref="A5:B5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zoomScale="70" zoomScaleNormal="70" workbookViewId="0">
      <selection activeCell="B3" sqref="B3"/>
    </sheetView>
  </sheetViews>
  <sheetFormatPr defaultColWidth="9" defaultRowHeight="14.4" outlineLevelCol="4"/>
  <cols>
    <col min="1" max="1" width="12.8796296296296" style="34" customWidth="1"/>
    <col min="2" max="2" width="26.8796296296296" style="34" customWidth="1"/>
    <col min="3" max="3" width="17.1296296296296" style="34" customWidth="1"/>
    <col min="4" max="4" width="19.1296296296296" style="34" customWidth="1"/>
    <col min="5" max="5" width="24.6296296296296" style="34" customWidth="1"/>
    <col min="6" max="7" width="12.6296296296296" style="34"/>
    <col min="8" max="9" width="11.5" style="34"/>
    <col min="10" max="10" width="12.6296296296296" style="34"/>
    <col min="11" max="11" width="9.37962962962963" style="34"/>
    <col min="12" max="16384" width="9" style="34"/>
  </cols>
  <sheetData>
    <row r="1" s="34" customFormat="1" ht="49" customHeight="1" spans="1:5">
      <c r="A1" s="35" t="s">
        <v>14</v>
      </c>
      <c r="B1" s="35"/>
      <c r="C1" s="35"/>
      <c r="D1" s="35"/>
      <c r="E1" s="35"/>
    </row>
    <row r="2" s="34" customFormat="1" ht="45" customHeight="1" spans="1:5">
      <c r="A2" s="36" t="s">
        <v>1</v>
      </c>
      <c r="B2" s="6" t="s">
        <v>2</v>
      </c>
      <c r="C2" s="36" t="s">
        <v>3</v>
      </c>
      <c r="D2" s="36" t="s">
        <v>4</v>
      </c>
      <c r="E2" s="36" t="s">
        <v>7</v>
      </c>
    </row>
    <row r="3" s="34" customFormat="1" ht="40" customHeight="1" spans="1:5">
      <c r="A3" s="37" t="s">
        <v>8</v>
      </c>
      <c r="B3" s="38" t="s">
        <v>15</v>
      </c>
      <c r="C3" s="38" t="s">
        <v>16</v>
      </c>
      <c r="D3" s="39">
        <f>(3.14*0.75*0.75*32.5*0.5)+(3*6*3)</f>
        <v>82.7015625</v>
      </c>
      <c r="E3" s="40"/>
    </row>
    <row r="4" s="34" customFormat="1" ht="40" customHeight="1" spans="1:5">
      <c r="A4" s="37" t="s">
        <v>11</v>
      </c>
      <c r="B4" s="38" t="s">
        <v>17</v>
      </c>
      <c r="C4" s="38" t="s">
        <v>16</v>
      </c>
      <c r="D4" s="39">
        <f>(3.14*0.75*0.75*32.5*0.7)+(3*5.5*2)</f>
        <v>73.1821875</v>
      </c>
      <c r="E4" s="40"/>
    </row>
    <row r="5" s="34" customFormat="1" ht="40" customHeight="1" spans="1:5">
      <c r="A5" s="37" t="s">
        <v>18</v>
      </c>
      <c r="B5" s="38" t="s">
        <v>19</v>
      </c>
      <c r="C5" s="38" t="s">
        <v>16</v>
      </c>
      <c r="D5" s="39">
        <f>(3.14*0.75*0.75*32.5*0.9)+(3*7*3)</f>
        <v>114.6628125</v>
      </c>
      <c r="E5" s="40"/>
    </row>
    <row r="6" s="34" customFormat="1" ht="40" customHeight="1" spans="1:5">
      <c r="A6" s="37" t="s">
        <v>20</v>
      </c>
      <c r="B6" s="38" t="s">
        <v>21</v>
      </c>
      <c r="C6" s="38" t="s">
        <v>16</v>
      </c>
      <c r="D6" s="39">
        <f>(3.14*0.75*0.75*32.5*0.45)+(2*6*2)</f>
        <v>49.83140625</v>
      </c>
      <c r="E6" s="40"/>
    </row>
    <row r="7" s="34" customFormat="1" ht="40" customHeight="1" spans="1:5">
      <c r="A7" s="37" t="s">
        <v>22</v>
      </c>
      <c r="B7" s="38" t="s">
        <v>23</v>
      </c>
      <c r="C7" s="38" t="s">
        <v>16</v>
      </c>
      <c r="D7" s="39">
        <f>(3.14*0.75*0.75*32.5*0.35)+(3*6*2)</f>
        <v>56.09109375</v>
      </c>
      <c r="E7" s="40"/>
    </row>
    <row r="8" s="34" customFormat="1" ht="40" customHeight="1" spans="1:5">
      <c r="A8" s="37" t="s">
        <v>24</v>
      </c>
      <c r="B8" s="38" t="s">
        <v>25</v>
      </c>
      <c r="C8" s="38" t="s">
        <v>16</v>
      </c>
      <c r="D8" s="39">
        <f>(3.14*0.75*0.75*32.5*0.42)+(3*6*3)</f>
        <v>78.1093125</v>
      </c>
      <c r="E8" s="40"/>
    </row>
    <row r="9" s="34" customFormat="1" ht="40" customHeight="1" spans="1:5">
      <c r="A9" s="37" t="s">
        <v>26</v>
      </c>
      <c r="B9" s="38" t="s">
        <v>27</v>
      </c>
      <c r="C9" s="38" t="s">
        <v>16</v>
      </c>
      <c r="D9" s="39">
        <f>(3.14*0.75*0.75*32.5*0.35)+(3*5*1.8)</f>
        <v>47.09109375</v>
      </c>
      <c r="E9" s="40"/>
    </row>
    <row r="10" s="34" customFormat="1" ht="40" customHeight="1" spans="1:5">
      <c r="A10" s="37" t="s">
        <v>28</v>
      </c>
      <c r="B10" s="38" t="s">
        <v>29</v>
      </c>
      <c r="C10" s="38" t="s">
        <v>16</v>
      </c>
      <c r="D10" s="39">
        <f>(3.14*0.75*0.75*32.5*0.45)+(3*6*3)</f>
        <v>79.83140625</v>
      </c>
      <c r="E10" s="40"/>
    </row>
    <row r="11" s="34" customFormat="1" ht="40" customHeight="1" spans="1:5">
      <c r="A11" s="37" t="s">
        <v>30</v>
      </c>
      <c r="B11" s="38" t="s">
        <v>31</v>
      </c>
      <c r="C11" s="38" t="s">
        <v>16</v>
      </c>
      <c r="D11" s="39">
        <f>(3.14*0.75*0.75*32.5*0.45)+(3*6*1.5)</f>
        <v>52.83140625</v>
      </c>
      <c r="E11" s="40"/>
    </row>
    <row r="12" s="34" customFormat="1" ht="40" customHeight="1" spans="1:5">
      <c r="A12" s="37" t="s">
        <v>32</v>
      </c>
      <c r="B12" s="38" t="s">
        <v>33</v>
      </c>
      <c r="C12" s="38" t="s">
        <v>16</v>
      </c>
      <c r="D12" s="39">
        <f>(3.14*0.75*0.75*32.5*0.45)+(3.5*6*2)</f>
        <v>67.83140625</v>
      </c>
      <c r="E12" s="40"/>
    </row>
    <row r="13" s="34" customFormat="1" ht="40" customHeight="1" spans="1:5">
      <c r="A13" s="37" t="s">
        <v>34</v>
      </c>
      <c r="B13" s="38" t="s">
        <v>35</v>
      </c>
      <c r="C13" s="38" t="s">
        <v>16</v>
      </c>
      <c r="D13" s="39">
        <f>(3.14*0.75*0.75*32.5*0.35)+(3*6*2)</f>
        <v>56.09109375</v>
      </c>
      <c r="E13" s="40"/>
    </row>
    <row r="14" s="34" customFormat="1" ht="40" customHeight="1" spans="1:5">
      <c r="A14" s="37" t="s">
        <v>36</v>
      </c>
      <c r="B14" s="38" t="s">
        <v>37</v>
      </c>
      <c r="C14" s="38" t="s">
        <v>16</v>
      </c>
      <c r="D14" s="39">
        <f>(3.14*0.75*0.75*32.5*0.35)+(3*5.5*2)</f>
        <v>53.09109375</v>
      </c>
      <c r="E14" s="40"/>
    </row>
    <row r="15" s="34" customFormat="1" ht="40" customHeight="1" spans="1:5">
      <c r="A15" s="37" t="s">
        <v>38</v>
      </c>
      <c r="B15" s="38" t="s">
        <v>39</v>
      </c>
      <c r="C15" s="38" t="s">
        <v>16</v>
      </c>
      <c r="D15" s="39">
        <f>(3.14*0.75*0.75*32.5*0.36)+(3*4*2)</f>
        <v>44.665125</v>
      </c>
      <c r="E15" s="40"/>
    </row>
    <row r="16" s="34" customFormat="1" ht="40" customHeight="1" spans="1:5">
      <c r="A16" s="37" t="s">
        <v>40</v>
      </c>
      <c r="B16" s="38" t="s">
        <v>41</v>
      </c>
      <c r="C16" s="38" t="s">
        <v>16</v>
      </c>
      <c r="D16" s="39">
        <f>(3.14*0.75*0.75*32.5*0.6)+(3*6*3)</f>
        <v>88.441875</v>
      </c>
      <c r="E16" s="40"/>
    </row>
    <row r="17" s="34" customFormat="1" ht="40" customHeight="1" spans="1:5">
      <c r="A17" s="37" t="s">
        <v>42</v>
      </c>
      <c r="B17" s="38" t="s">
        <v>43</v>
      </c>
      <c r="C17" s="38" t="s">
        <v>16</v>
      </c>
      <c r="D17" s="39">
        <f>(3.14*0.75*0.75*32.5*0.28)+(3*6*2)</f>
        <v>52.072875</v>
      </c>
      <c r="E17" s="40"/>
    </row>
    <row r="18" s="34" customFormat="1" ht="40" customHeight="1" spans="1:5">
      <c r="A18" s="37" t="s">
        <v>44</v>
      </c>
      <c r="B18" s="38" t="s">
        <v>45</v>
      </c>
      <c r="C18" s="38" t="s">
        <v>16</v>
      </c>
      <c r="D18" s="39">
        <f>(3.14*0.75*0.75*32.5*0.4)+(3*5*2)</f>
        <v>52.96125</v>
      </c>
      <c r="E18" s="40"/>
    </row>
    <row r="19" s="34" customFormat="1" ht="40" customHeight="1" spans="1:5">
      <c r="A19" s="37" t="s">
        <v>46</v>
      </c>
      <c r="B19" s="38" t="s">
        <v>47</v>
      </c>
      <c r="C19" s="38" t="s">
        <v>16</v>
      </c>
      <c r="D19" s="39">
        <f>(3.14*0.75*0.75*32.5*0.5)+(3*5*2.5)</f>
        <v>66.2015625</v>
      </c>
      <c r="E19" s="40"/>
    </row>
    <row r="20" s="34" customFormat="1" ht="40" customHeight="1" spans="1:5">
      <c r="A20" s="37" t="s">
        <v>48</v>
      </c>
      <c r="B20" s="38" t="s">
        <v>49</v>
      </c>
      <c r="C20" s="38" t="s">
        <v>16</v>
      </c>
      <c r="D20" s="39">
        <f>(3.14*0.75*0.75*32.5*0.25)+(3*5*2)</f>
        <v>44.35078125</v>
      </c>
      <c r="E20" s="40"/>
    </row>
    <row r="21" s="34" customFormat="1" ht="40" customHeight="1" spans="1:5">
      <c r="A21" s="37" t="s">
        <v>50</v>
      </c>
      <c r="B21" s="38" t="s">
        <v>51</v>
      </c>
      <c r="C21" s="38" t="s">
        <v>16</v>
      </c>
      <c r="D21" s="39">
        <f>(3.14*0.75*0.75*32.5*0.38)+(3*4.5*2)</f>
        <v>48.8131875</v>
      </c>
      <c r="E21" s="40"/>
    </row>
    <row r="22" s="34" customFormat="1" ht="40" customHeight="1" spans="1:5">
      <c r="A22" s="37" t="s">
        <v>52</v>
      </c>
      <c r="B22" s="38" t="s">
        <v>53</v>
      </c>
      <c r="C22" s="38" t="s">
        <v>16</v>
      </c>
      <c r="D22" s="39">
        <f>(3.14*0.75*0.75*32.5*0.35)+(3*6*2)</f>
        <v>56.09109375</v>
      </c>
      <c r="E22" s="40"/>
    </row>
    <row r="23" s="34" customFormat="1" ht="26" customHeight="1" spans="1:5">
      <c r="A23" s="29" t="s">
        <v>13</v>
      </c>
      <c r="B23" s="30"/>
      <c r="C23" s="36"/>
      <c r="D23" s="36">
        <f>ROUND(SUM(D3:D22),2)</f>
        <v>1264.94</v>
      </c>
      <c r="E23" s="41"/>
    </row>
  </sheetData>
  <mergeCells count="2">
    <mergeCell ref="A1:E1"/>
    <mergeCell ref="A23:B23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zoomScale="70" zoomScaleNormal="70" workbookViewId="0">
      <selection activeCell="D10" sqref="D10"/>
    </sheetView>
  </sheetViews>
  <sheetFormatPr defaultColWidth="9" defaultRowHeight="14.4" outlineLevelCol="4"/>
  <cols>
    <col min="1" max="1" width="12.8796296296296" style="34" customWidth="1"/>
    <col min="2" max="2" width="26.8796296296296" style="34" customWidth="1"/>
    <col min="3" max="3" width="17.1296296296296" style="34" customWidth="1"/>
    <col min="4" max="4" width="19.1296296296296" style="34" customWidth="1"/>
    <col min="5" max="5" width="24.6296296296296" style="34" customWidth="1"/>
    <col min="6" max="7" width="12.6296296296296" style="34"/>
    <col min="8" max="9" width="11.5" style="34"/>
    <col min="10" max="10" width="12.6296296296296" style="34"/>
    <col min="11" max="11" width="9.37962962962963" style="34"/>
    <col min="12" max="16384" width="9" style="34"/>
  </cols>
  <sheetData>
    <row r="1" s="34" customFormat="1" ht="49" customHeight="1" spans="1:5">
      <c r="A1" s="35" t="s">
        <v>14</v>
      </c>
      <c r="B1" s="35"/>
      <c r="C1" s="35"/>
      <c r="D1" s="35"/>
      <c r="E1" s="35"/>
    </row>
    <row r="2" s="34" customFormat="1" ht="45" customHeight="1" spans="1:5">
      <c r="A2" s="36" t="s">
        <v>1</v>
      </c>
      <c r="B2" s="6" t="s">
        <v>2</v>
      </c>
      <c r="C2" s="36" t="s">
        <v>3</v>
      </c>
      <c r="D2" s="36" t="s">
        <v>4</v>
      </c>
      <c r="E2" s="36" t="s">
        <v>7</v>
      </c>
    </row>
    <row r="3" s="34" customFormat="1" ht="40" customHeight="1" spans="1:5">
      <c r="A3" s="37" t="s">
        <v>8</v>
      </c>
      <c r="B3" s="38" t="s">
        <v>54</v>
      </c>
      <c r="C3" s="38" t="s">
        <v>16</v>
      </c>
      <c r="D3" s="39">
        <f>(3.14*0.75*0.75*36.5*0.6)+(4*6*3)</f>
        <v>110.680875</v>
      </c>
      <c r="E3" s="40"/>
    </row>
    <row r="4" s="34" customFormat="1" ht="40" customHeight="1" spans="1:5">
      <c r="A4" s="37" t="s">
        <v>11</v>
      </c>
      <c r="B4" s="38" t="s">
        <v>55</v>
      </c>
      <c r="C4" s="38" t="s">
        <v>16</v>
      </c>
      <c r="D4" s="39">
        <f>(3.14*0.75*0.75*36.5*0.35)+(3*6*2.2)</f>
        <v>62.16384375</v>
      </c>
      <c r="E4" s="40"/>
    </row>
    <row r="5" s="34" customFormat="1" ht="40" customHeight="1" spans="1:5">
      <c r="A5" s="37" t="s">
        <v>18</v>
      </c>
      <c r="B5" s="38" t="s">
        <v>56</v>
      </c>
      <c r="C5" s="38" t="s">
        <v>16</v>
      </c>
      <c r="D5" s="39">
        <f>(3.14*0.75*0.75*36.5*0.5)+(3*5.5*3)</f>
        <v>81.7340625</v>
      </c>
      <c r="E5" s="40"/>
    </row>
    <row r="6" s="34" customFormat="1" ht="40" customHeight="1" spans="1:5">
      <c r="A6" s="37" t="s">
        <v>20</v>
      </c>
      <c r="B6" s="38" t="s">
        <v>57</v>
      </c>
      <c r="C6" s="38" t="s">
        <v>16</v>
      </c>
      <c r="D6" s="39">
        <f>(2*38*1.5)+(3*6*3)</f>
        <v>168</v>
      </c>
      <c r="E6" s="40"/>
    </row>
    <row r="7" s="34" customFormat="1" ht="40" customHeight="1" spans="1:5">
      <c r="A7" s="37" t="s">
        <v>22</v>
      </c>
      <c r="B7" s="38" t="s">
        <v>58</v>
      </c>
      <c r="C7" s="38" t="s">
        <v>16</v>
      </c>
      <c r="D7" s="39">
        <f>(2*38*1.5)+(3*6.5*3)</f>
        <v>172.5</v>
      </c>
      <c r="E7" s="40"/>
    </row>
    <row r="8" s="34" customFormat="1" ht="40" customHeight="1" spans="1:5">
      <c r="A8" s="37" t="s">
        <v>24</v>
      </c>
      <c r="B8" s="38" t="s">
        <v>59</v>
      </c>
      <c r="C8" s="38" t="s">
        <v>16</v>
      </c>
      <c r="D8" s="39">
        <f>(2*38*1.3)+(3*6.5*3)</f>
        <v>157.3</v>
      </c>
      <c r="E8" s="40"/>
    </row>
    <row r="9" s="34" customFormat="1" ht="40" customHeight="1" spans="1:5">
      <c r="A9" s="37" t="s">
        <v>26</v>
      </c>
      <c r="B9" s="38" t="s">
        <v>60</v>
      </c>
      <c r="C9" s="38" t="s">
        <v>16</v>
      </c>
      <c r="D9" s="39">
        <f>(2*38*1.6)+(3*6.5*3)+(12*3*1.2)</f>
        <v>223.3</v>
      </c>
      <c r="E9" s="40"/>
    </row>
    <row r="10" s="34" customFormat="1" ht="26" customHeight="1" spans="1:5">
      <c r="A10" s="29" t="s">
        <v>13</v>
      </c>
      <c r="B10" s="30"/>
      <c r="C10" s="36"/>
      <c r="D10" s="36">
        <f>ROUND(SUM(D3:D9),2)</f>
        <v>975.68</v>
      </c>
      <c r="E10" s="41"/>
    </row>
    <row r="17" spans="4:4">
      <c r="D17" s="34">
        <f>'涵洞清淤 合计'!F4/D10</f>
        <v>260</v>
      </c>
    </row>
  </sheetData>
  <mergeCells count="2">
    <mergeCell ref="A1:E1"/>
    <mergeCell ref="A10:B10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workbookViewId="0">
      <selection activeCell="B15" sqref="B15"/>
    </sheetView>
  </sheetViews>
  <sheetFormatPr defaultColWidth="9" defaultRowHeight="15.6"/>
  <cols>
    <col min="1" max="1" width="6" style="3" customWidth="1"/>
    <col min="2" max="2" width="34.3981481481481" style="3" customWidth="1"/>
    <col min="3" max="3" width="6.2962962962963" style="3" customWidth="1"/>
    <col min="4" max="4" width="13.7962962962963" style="3" customWidth="1"/>
    <col min="5" max="5" width="16.8981481481481" style="3" customWidth="1"/>
    <col min="6" max="6" width="19.3981481481481" style="5" customWidth="1"/>
    <col min="7" max="7" width="26" style="3" customWidth="1"/>
    <col min="8" max="8" width="12.7962962962963" style="3"/>
    <col min="9" max="9" width="10.3796296296296" style="3"/>
    <col min="10" max="10" width="12.6296296296296" style="3"/>
    <col min="11" max="11" width="9" style="3"/>
    <col min="12" max="12" width="10.3796296296296" style="3"/>
    <col min="13" max="13" width="9.37962962962963" style="3"/>
    <col min="14" max="14" width="9" style="3"/>
    <col min="15" max="15" width="12.7962962962963" style="3"/>
    <col min="16" max="16384" width="9" style="3"/>
  </cols>
  <sheetData>
    <row r="1" ht="38" customHeight="1" spans="1:7">
      <c r="A1" s="4" t="s">
        <v>61</v>
      </c>
      <c r="B1" s="4"/>
      <c r="C1" s="4"/>
      <c r="D1" s="4"/>
      <c r="E1" s="4"/>
      <c r="F1" s="4"/>
      <c r="G1" s="4"/>
    </row>
    <row r="2" s="4" customFormat="1" ht="38" customHeight="1" spans="1:11">
      <c r="A2" s="6" t="s">
        <v>1</v>
      </c>
      <c r="B2" s="6" t="s">
        <v>2</v>
      </c>
      <c r="C2" s="6" t="s">
        <v>3</v>
      </c>
      <c r="D2" s="6" t="s">
        <v>4</v>
      </c>
      <c r="E2" s="6" t="s">
        <v>62</v>
      </c>
      <c r="F2" s="6" t="s">
        <v>63</v>
      </c>
      <c r="G2" s="6" t="s">
        <v>7</v>
      </c>
      <c r="K2" s="3"/>
    </row>
    <row r="3" ht="37" customHeight="1" spans="1:12">
      <c r="A3" s="7" t="s">
        <v>8</v>
      </c>
      <c r="B3" s="7" t="s">
        <v>64</v>
      </c>
      <c r="C3" s="7" t="s">
        <v>65</v>
      </c>
      <c r="D3" s="7">
        <f>102+801</f>
        <v>903</v>
      </c>
      <c r="E3" s="21">
        <f>ROUND((F4+F5+F6+F9+F10)/D3,2)</f>
        <v>9.3</v>
      </c>
      <c r="F3" s="11">
        <f>ROUND(D3*E3,2)</f>
        <v>8397.9</v>
      </c>
      <c r="G3" s="7" t="s">
        <v>66</v>
      </c>
      <c r="H3" s="7">
        <v>16138</v>
      </c>
      <c r="J3" s="3">
        <v>15.2</v>
      </c>
      <c r="L3" s="3">
        <f>H3*J3</f>
        <v>245297.6</v>
      </c>
    </row>
    <row r="4" ht="37" customHeight="1" spans="1:11">
      <c r="A4" s="9">
        <v>1</v>
      </c>
      <c r="B4" s="9" t="s">
        <v>67</v>
      </c>
      <c r="C4" s="9" t="s">
        <v>68</v>
      </c>
      <c r="D4" s="22">
        <f>D3/400*4</f>
        <v>9.03</v>
      </c>
      <c r="E4" s="9">
        <v>210</v>
      </c>
      <c r="F4" s="23">
        <f t="shared" ref="F4:F8" si="0">E4*D4</f>
        <v>1896.3</v>
      </c>
      <c r="G4" s="6" t="s">
        <v>69</v>
      </c>
      <c r="I4" s="3">
        <v>8000</v>
      </c>
      <c r="J4" s="3">
        <v>12.8</v>
      </c>
      <c r="K4" s="3">
        <f>J4*I4</f>
        <v>102400</v>
      </c>
    </row>
    <row r="5" ht="37" customHeight="1" spans="1:7">
      <c r="A5" s="9">
        <v>2</v>
      </c>
      <c r="B5" s="9" t="s">
        <v>70</v>
      </c>
      <c r="C5" s="9" t="s">
        <v>71</v>
      </c>
      <c r="D5" s="10">
        <v>1000</v>
      </c>
      <c r="E5" s="9">
        <v>1</v>
      </c>
      <c r="F5" s="23">
        <f>E5*D5*1.05</f>
        <v>1050</v>
      </c>
      <c r="G5" s="6" t="s">
        <v>72</v>
      </c>
    </row>
    <row r="6" ht="37" customHeight="1" spans="1:7">
      <c r="A6" s="9">
        <v>3</v>
      </c>
      <c r="B6" s="9" t="s">
        <v>73</v>
      </c>
      <c r="C6" s="9" t="s">
        <v>74</v>
      </c>
      <c r="D6" s="22">
        <f>D3/400</f>
        <v>2.2575</v>
      </c>
      <c r="E6" s="24">
        <v>1680</v>
      </c>
      <c r="F6" s="23">
        <f>D6*E6</f>
        <v>3792.6</v>
      </c>
      <c r="G6" s="9" t="s">
        <v>75</v>
      </c>
    </row>
    <row r="7" ht="37" customHeight="1" spans="1:7">
      <c r="A7" s="9">
        <v>3.1</v>
      </c>
      <c r="B7" s="9" t="s">
        <v>76</v>
      </c>
      <c r="C7" s="9" t="s">
        <v>74</v>
      </c>
      <c r="D7" s="22">
        <f>D3/400</f>
        <v>2.2575</v>
      </c>
      <c r="E7" s="9">
        <v>1260</v>
      </c>
      <c r="F7" s="23">
        <f t="shared" si="0"/>
        <v>2844.45</v>
      </c>
      <c r="G7" s="6" t="s">
        <v>77</v>
      </c>
    </row>
    <row r="8" ht="37" customHeight="1" spans="1:7">
      <c r="A8" s="9">
        <v>3.2</v>
      </c>
      <c r="B8" s="9" t="s">
        <v>78</v>
      </c>
      <c r="C8" s="9" t="s">
        <v>68</v>
      </c>
      <c r="D8" s="22">
        <f>D3/400*2</f>
        <v>4.515</v>
      </c>
      <c r="E8" s="9">
        <f>E4</f>
        <v>210</v>
      </c>
      <c r="F8" s="23">
        <f t="shared" si="0"/>
        <v>948.15</v>
      </c>
      <c r="G8" s="6" t="s">
        <v>79</v>
      </c>
    </row>
    <row r="9" ht="37" customHeight="1" spans="1:11">
      <c r="A9" s="9">
        <v>4</v>
      </c>
      <c r="B9" s="9" t="s">
        <v>80</v>
      </c>
      <c r="C9" s="12" t="s">
        <v>81</v>
      </c>
      <c r="D9" s="12" t="s">
        <v>82</v>
      </c>
      <c r="E9" s="9" t="s">
        <v>82</v>
      </c>
      <c r="F9" s="23">
        <v>0</v>
      </c>
      <c r="G9" s="6" t="s">
        <v>82</v>
      </c>
      <c r="K9" s="3">
        <f>60000*35</f>
        <v>2100000</v>
      </c>
    </row>
    <row r="10" ht="37" customHeight="1" spans="1:7">
      <c r="A10" s="9">
        <v>5</v>
      </c>
      <c r="B10" s="9" t="s">
        <v>83</v>
      </c>
      <c r="C10" s="9" t="s">
        <v>74</v>
      </c>
      <c r="D10" s="25">
        <f>D7</f>
        <v>2.2575</v>
      </c>
      <c r="E10" s="9">
        <v>735</v>
      </c>
      <c r="F10" s="23">
        <f>D10*E10</f>
        <v>1659.2625</v>
      </c>
      <c r="G10" s="6" t="s">
        <v>84</v>
      </c>
    </row>
    <row r="11" ht="37" customHeight="1" spans="1:10">
      <c r="A11" s="7" t="s">
        <v>11</v>
      </c>
      <c r="B11" s="7" t="s">
        <v>85</v>
      </c>
      <c r="C11" s="7" t="s">
        <v>65</v>
      </c>
      <c r="D11" s="7">
        <v>903</v>
      </c>
      <c r="E11" s="21">
        <f>ROUND(SUM(F12:F19)/D11,2)</f>
        <v>37.16</v>
      </c>
      <c r="F11" s="11">
        <f>ROUND(D11*E11,2)</f>
        <v>33555.48</v>
      </c>
      <c r="G11" s="7" t="s">
        <v>66</v>
      </c>
      <c r="H11" s="7">
        <v>16138</v>
      </c>
      <c r="J11" s="3">
        <f>E11*1.05</f>
        <v>39.018</v>
      </c>
    </row>
    <row r="12" ht="37" customHeight="1" spans="1:11">
      <c r="A12" s="26">
        <v>1</v>
      </c>
      <c r="B12" s="9" t="s">
        <v>86</v>
      </c>
      <c r="C12" s="9" t="s">
        <v>10</v>
      </c>
      <c r="D12" s="22">
        <f>D11/1000*1.188</f>
        <v>1.072764</v>
      </c>
      <c r="E12" s="9">
        <f>450*1.05</f>
        <v>472.5</v>
      </c>
      <c r="F12" s="23">
        <f t="shared" ref="F11:F17" si="1">E12*D12</f>
        <v>506.88099</v>
      </c>
      <c r="G12" s="6" t="s">
        <v>87</v>
      </c>
      <c r="J12" s="3">
        <v>8000</v>
      </c>
      <c r="K12" s="3">
        <f>J12*J11</f>
        <v>312144</v>
      </c>
    </row>
    <row r="13" ht="37" customHeight="1" spans="1:11">
      <c r="A13" s="26">
        <v>2</v>
      </c>
      <c r="B13" s="9" t="s">
        <v>88</v>
      </c>
      <c r="C13" s="9" t="s">
        <v>10</v>
      </c>
      <c r="D13" s="22">
        <f>D11/1000*31.968</f>
        <v>28.867104</v>
      </c>
      <c r="E13" s="9">
        <f>E12</f>
        <v>472.5</v>
      </c>
      <c r="F13" s="23">
        <f t="shared" si="1"/>
        <v>13639.70664</v>
      </c>
      <c r="G13" s="6" t="s">
        <v>87</v>
      </c>
      <c r="J13" s="3">
        <f>D13*220</f>
        <v>6350.76288</v>
      </c>
      <c r="K13" s="3">
        <f>D11/200</f>
        <v>4.515</v>
      </c>
    </row>
    <row r="14" ht="62.4" spans="1:12">
      <c r="A14" s="26">
        <v>3</v>
      </c>
      <c r="B14" s="6" t="s">
        <v>89</v>
      </c>
      <c r="C14" s="9" t="s">
        <v>68</v>
      </c>
      <c r="D14" s="27">
        <v>64</v>
      </c>
      <c r="E14" s="9">
        <v>231</v>
      </c>
      <c r="F14" s="23">
        <f t="shared" si="1"/>
        <v>14784</v>
      </c>
      <c r="G14" s="6" t="s">
        <v>90</v>
      </c>
      <c r="I14" s="3">
        <f>64*240</f>
        <v>15360</v>
      </c>
      <c r="J14" s="5"/>
      <c r="K14" s="5"/>
      <c r="L14" s="5">
        <f>D11/8</f>
        <v>112.875</v>
      </c>
    </row>
    <row r="15" ht="37" customHeight="1" spans="1:12">
      <c r="A15" s="26">
        <v>4</v>
      </c>
      <c r="B15" s="9" t="s">
        <v>91</v>
      </c>
      <c r="C15" s="9" t="s">
        <v>92</v>
      </c>
      <c r="D15" s="28">
        <f>D11/1000*333*350/1000*0.617/1000</f>
        <v>0.06493594905</v>
      </c>
      <c r="E15" s="9">
        <f>5000*1.05</f>
        <v>5250</v>
      </c>
      <c r="F15" s="23">
        <f t="shared" si="1"/>
        <v>340.9137325125</v>
      </c>
      <c r="G15" s="6" t="s">
        <v>93</v>
      </c>
      <c r="I15" s="3">
        <f>D11/1000*71.928</f>
        <v>64.950984</v>
      </c>
      <c r="J15" s="5"/>
      <c r="K15" s="5"/>
      <c r="L15" s="5"/>
    </row>
    <row r="16" ht="37" customHeight="1" spans="1:12">
      <c r="A16" s="26">
        <v>5</v>
      </c>
      <c r="B16" s="9" t="s">
        <v>94</v>
      </c>
      <c r="C16" s="9" t="s">
        <v>92</v>
      </c>
      <c r="D16" s="28">
        <f>D15</f>
        <v>0.06493594905</v>
      </c>
      <c r="E16" s="9">
        <f>900*1.05</f>
        <v>945</v>
      </c>
      <c r="F16" s="23">
        <f t="shared" si="1"/>
        <v>61.36447185225</v>
      </c>
      <c r="G16" s="6" t="s">
        <v>95</v>
      </c>
      <c r="I16" s="3">
        <v>0.617</v>
      </c>
      <c r="J16" s="5"/>
      <c r="K16" s="5"/>
      <c r="L16" s="5"/>
    </row>
    <row r="17" ht="37" customHeight="1" spans="1:12">
      <c r="A17" s="26">
        <v>6</v>
      </c>
      <c r="B17" s="9" t="s">
        <v>96</v>
      </c>
      <c r="C17" s="9" t="s">
        <v>74</v>
      </c>
      <c r="D17" s="10">
        <f>D11/400*2</f>
        <v>4.515</v>
      </c>
      <c r="E17" s="9">
        <f>700*1.05</f>
        <v>735</v>
      </c>
      <c r="F17" s="23">
        <f t="shared" si="1"/>
        <v>3318.525</v>
      </c>
      <c r="G17" s="6" t="s">
        <v>97</v>
      </c>
      <c r="J17" s="5"/>
      <c r="K17" s="5"/>
      <c r="L17" s="5"/>
    </row>
    <row r="18" ht="37" customHeight="1" spans="1:11">
      <c r="A18" s="26">
        <v>7</v>
      </c>
      <c r="B18" s="9" t="s">
        <v>80</v>
      </c>
      <c r="C18" s="12" t="s">
        <v>81</v>
      </c>
      <c r="D18" s="12" t="s">
        <v>82</v>
      </c>
      <c r="E18" s="9" t="s">
        <v>82</v>
      </c>
      <c r="F18" s="23" t="s">
        <v>82</v>
      </c>
      <c r="G18" s="6" t="s">
        <v>82</v>
      </c>
      <c r="K18" s="3">
        <f>60000*35</f>
        <v>2100000</v>
      </c>
    </row>
    <row r="19" ht="37" customHeight="1" spans="1:7">
      <c r="A19" s="26">
        <v>8</v>
      </c>
      <c r="B19" s="9" t="s">
        <v>98</v>
      </c>
      <c r="C19" s="9" t="s">
        <v>74</v>
      </c>
      <c r="D19" s="25">
        <f>D17/2*2</f>
        <v>4.515</v>
      </c>
      <c r="E19" s="9">
        <v>200</v>
      </c>
      <c r="F19" s="23">
        <f>D19*E19</f>
        <v>903</v>
      </c>
      <c r="G19" s="6" t="s">
        <v>99</v>
      </c>
    </row>
    <row r="20" ht="37" customHeight="1" spans="1:7">
      <c r="A20" s="29" t="s">
        <v>13</v>
      </c>
      <c r="B20" s="30"/>
      <c r="C20" s="9"/>
      <c r="D20" s="25"/>
      <c r="E20" s="9"/>
      <c r="F20" s="23">
        <f>F11+F3</f>
        <v>41953.38</v>
      </c>
      <c r="G20" s="6"/>
    </row>
    <row r="21" ht="37" customHeight="1" spans="1:13">
      <c r="A21" s="26" t="s">
        <v>100</v>
      </c>
      <c r="B21" s="31"/>
      <c r="C21" s="12"/>
      <c r="D21" s="12"/>
      <c r="E21" s="9"/>
      <c r="F21" s="25" t="e">
        <f>F20+G85涵洞清淤!#REF!+防撞垫、标志牌!F3+防撞垫、标志牌!F15</f>
        <v>#REF!</v>
      </c>
      <c r="G21" s="6"/>
      <c r="K21" s="3">
        <v>784</v>
      </c>
      <c r="L21" s="3">
        <v>7.18</v>
      </c>
      <c r="M21" s="3">
        <f>K21*L21*2</f>
        <v>11258.24</v>
      </c>
    </row>
    <row r="22" spans="1:7">
      <c r="A22" s="32"/>
      <c r="B22" s="32"/>
      <c r="G22" s="5"/>
    </row>
    <row r="23" spans="1:7">
      <c r="A23" s="32"/>
      <c r="B23" s="32"/>
      <c r="F23" s="33" t="e">
        <f>F21*1.09</f>
        <v>#REF!</v>
      </c>
      <c r="G23" s="33"/>
    </row>
    <row r="29" spans="8:9">
      <c r="H29" s="3">
        <v>4178</v>
      </c>
      <c r="I29" s="3">
        <f>H29*4</f>
        <v>16712</v>
      </c>
    </row>
    <row r="30" spans="8:10">
      <c r="H30" s="3">
        <v>12560</v>
      </c>
      <c r="I30" s="3">
        <v>83.25</v>
      </c>
      <c r="J30" s="3">
        <f>H30/I30</f>
        <v>150.870870870871</v>
      </c>
    </row>
    <row r="31" spans="10:10">
      <c r="J31" s="3">
        <f>J30*4</f>
        <v>603.483483483483</v>
      </c>
    </row>
  </sheetData>
  <mergeCells count="7">
    <mergeCell ref="A1:G1"/>
    <mergeCell ref="A20:B20"/>
    <mergeCell ref="A21:B21"/>
    <mergeCell ref="A22:B22"/>
    <mergeCell ref="F22:G22"/>
    <mergeCell ref="A23:B23"/>
    <mergeCell ref="F23:G23"/>
  </mergeCells>
  <pageMargins left="0.393055555555556" right="0.393055555555556" top="1" bottom="1" header="0.511805555555556" footer="0.511805555555556"/>
  <pageSetup paperSize="9" orientation="landscape" horizontalDpi="6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0"/>
  <sheetViews>
    <sheetView topLeftCell="A7" workbookViewId="0">
      <selection activeCell="E20" sqref="E20"/>
    </sheetView>
  </sheetViews>
  <sheetFormatPr defaultColWidth="9" defaultRowHeight="15.6"/>
  <cols>
    <col min="1" max="1" width="6" style="3" customWidth="1"/>
    <col min="2" max="2" width="34.3981481481481" style="3" customWidth="1"/>
    <col min="3" max="3" width="6.2962962962963" style="3" customWidth="1"/>
    <col min="4" max="4" width="13.7962962962963" style="3" customWidth="1"/>
    <col min="5" max="5" width="16.8981481481481" style="3" customWidth="1"/>
    <col min="6" max="6" width="19.3981481481481" style="5" customWidth="1"/>
    <col min="7" max="7" width="26" style="3" customWidth="1"/>
    <col min="8" max="8" width="12.7962962962963" style="3"/>
    <col min="9" max="9" width="9.37962962962963" style="3"/>
    <col min="10" max="11" width="9" style="3"/>
    <col min="12" max="12" width="12.6296296296296" style="3"/>
    <col min="13" max="14" width="9" style="3"/>
    <col min="15" max="15" width="12.7962962962963" style="3"/>
    <col min="16" max="16" width="12.6296296296296" style="3"/>
    <col min="17" max="16384" width="9" style="3"/>
  </cols>
  <sheetData>
    <row r="1" s="3" customFormat="1" ht="32" customHeight="1" spans="1:7">
      <c r="A1" s="5" t="s">
        <v>101</v>
      </c>
      <c r="B1" s="5"/>
      <c r="C1" s="5"/>
      <c r="D1" s="5"/>
      <c r="E1" s="5"/>
      <c r="F1" s="5"/>
      <c r="G1" s="5"/>
    </row>
    <row r="2" s="4" customFormat="1" ht="38" customHeight="1" spans="1:11">
      <c r="A2" s="6" t="s">
        <v>1</v>
      </c>
      <c r="B2" s="6" t="s">
        <v>2</v>
      </c>
      <c r="C2" s="6" t="s">
        <v>3</v>
      </c>
      <c r="D2" s="6" t="s">
        <v>4</v>
      </c>
      <c r="E2" s="6" t="s">
        <v>62</v>
      </c>
      <c r="F2" s="6" t="s">
        <v>63</v>
      </c>
      <c r="G2" s="6" t="s">
        <v>7</v>
      </c>
      <c r="K2" s="3"/>
    </row>
    <row r="3" s="3" customFormat="1" ht="37" customHeight="1" spans="1:16">
      <c r="A3" s="7" t="s">
        <v>8</v>
      </c>
      <c r="B3" s="6" t="s">
        <v>102</v>
      </c>
      <c r="C3" s="7" t="s">
        <v>103</v>
      </c>
      <c r="D3" s="7">
        <v>13</v>
      </c>
      <c r="E3" s="8">
        <f>ROUND(SUM(F4:F11)/D3,2)</f>
        <v>6279.09</v>
      </c>
      <c r="F3" s="9">
        <f>ROUND(D3*E3,2)</f>
        <v>81628.17</v>
      </c>
      <c r="G3" s="7" t="s">
        <v>66</v>
      </c>
      <c r="K3" s="3">
        <v>18124.47</v>
      </c>
      <c r="L3" s="3">
        <f>K3/1.09</f>
        <v>16627.9541284404</v>
      </c>
      <c r="M3" s="3">
        <v>7780</v>
      </c>
      <c r="N3" s="3">
        <f>E3</f>
        <v>6279.09</v>
      </c>
      <c r="O3" s="3">
        <f>M3+N3</f>
        <v>14059.09</v>
      </c>
      <c r="P3" s="3">
        <f>L3-O3</f>
        <v>2568.86412844037</v>
      </c>
    </row>
    <row r="4" s="3" customFormat="1" ht="33" customHeight="1" spans="1:7">
      <c r="A4" s="9">
        <v>2</v>
      </c>
      <c r="B4" s="9" t="s">
        <v>104</v>
      </c>
      <c r="C4" s="9" t="s">
        <v>74</v>
      </c>
      <c r="D4" s="10">
        <f>D3</f>
        <v>13</v>
      </c>
      <c r="E4" s="9">
        <v>1200</v>
      </c>
      <c r="F4" s="11">
        <f t="shared" ref="F3:F11" si="0">D4*E4</f>
        <v>15600</v>
      </c>
      <c r="G4" s="6"/>
    </row>
    <row r="5" s="3" customFormat="1" ht="33" customHeight="1" spans="1:7">
      <c r="A5" s="9">
        <v>3</v>
      </c>
      <c r="B5" s="9" t="s">
        <v>105</v>
      </c>
      <c r="C5" s="9" t="s">
        <v>68</v>
      </c>
      <c r="D5" s="9">
        <f>D3*5</f>
        <v>65</v>
      </c>
      <c r="E5" s="9">
        <v>260</v>
      </c>
      <c r="F5" s="11">
        <f t="shared" si="0"/>
        <v>16900</v>
      </c>
      <c r="G5" s="9" t="s">
        <v>106</v>
      </c>
    </row>
    <row r="6" s="3" customFormat="1" ht="33" customHeight="1" spans="1:7">
      <c r="A6" s="9">
        <v>4</v>
      </c>
      <c r="B6" s="9" t="s">
        <v>107</v>
      </c>
      <c r="C6" s="9" t="s">
        <v>74</v>
      </c>
      <c r="D6" s="9">
        <f>D3</f>
        <v>13</v>
      </c>
      <c r="E6" s="9">
        <v>1200</v>
      </c>
      <c r="F6" s="11">
        <f t="shared" si="0"/>
        <v>15600</v>
      </c>
      <c r="G6" s="9" t="s">
        <v>108</v>
      </c>
    </row>
    <row r="7" s="3" customFormat="1" ht="31" customHeight="1" spans="1:7">
      <c r="A7" s="9">
        <v>5</v>
      </c>
      <c r="B7" s="9" t="s">
        <v>109</v>
      </c>
      <c r="C7" s="9" t="s">
        <v>10</v>
      </c>
      <c r="D7" s="9">
        <f>0.57*D3</f>
        <v>7.41</v>
      </c>
      <c r="E7" s="9">
        <v>450</v>
      </c>
      <c r="F7" s="11">
        <f t="shared" si="0"/>
        <v>3334.5</v>
      </c>
      <c r="G7" s="9"/>
    </row>
    <row r="8" s="3" customFormat="1" ht="31" customHeight="1" spans="1:7">
      <c r="A8" s="9">
        <v>6</v>
      </c>
      <c r="B8" s="9" t="s">
        <v>110</v>
      </c>
      <c r="C8" s="9" t="s">
        <v>74</v>
      </c>
      <c r="D8" s="9">
        <f>D3</f>
        <v>13</v>
      </c>
      <c r="E8" s="9">
        <v>1300</v>
      </c>
      <c r="F8" s="11">
        <f t="shared" si="0"/>
        <v>16900</v>
      </c>
      <c r="G8" s="9"/>
    </row>
    <row r="9" s="3" customFormat="1" ht="31" customHeight="1" spans="1:7">
      <c r="A9" s="9">
        <v>7</v>
      </c>
      <c r="B9" s="9" t="s">
        <v>111</v>
      </c>
      <c r="C9" s="9" t="s">
        <v>74</v>
      </c>
      <c r="D9" s="9">
        <f>D3</f>
        <v>13</v>
      </c>
      <c r="E9" s="9">
        <v>600</v>
      </c>
      <c r="F9" s="11">
        <f t="shared" si="0"/>
        <v>7800</v>
      </c>
      <c r="G9" s="9"/>
    </row>
    <row r="10" s="3" customFormat="1" ht="34" customHeight="1" spans="1:7">
      <c r="A10" s="9">
        <v>8</v>
      </c>
      <c r="B10" s="9" t="s">
        <v>112</v>
      </c>
      <c r="C10" s="9" t="s">
        <v>10</v>
      </c>
      <c r="D10" s="9">
        <f>D7</f>
        <v>7.41</v>
      </c>
      <c r="E10" s="9">
        <v>180</v>
      </c>
      <c r="F10" s="11">
        <f t="shared" si="0"/>
        <v>1333.8</v>
      </c>
      <c r="G10" s="9"/>
    </row>
    <row r="11" ht="29" customHeight="1" spans="1:7">
      <c r="A11" s="9">
        <v>9</v>
      </c>
      <c r="B11" s="9" t="s">
        <v>113</v>
      </c>
      <c r="C11" s="9" t="s">
        <v>92</v>
      </c>
      <c r="D11" s="9">
        <f>55.17*D3/1000</f>
        <v>0.71721</v>
      </c>
      <c r="E11" s="9">
        <v>5800</v>
      </c>
      <c r="F11" s="11">
        <f t="shared" si="0"/>
        <v>4159.818</v>
      </c>
      <c r="G11" s="12"/>
    </row>
    <row r="13" ht="30" customHeight="1" spans="1:7">
      <c r="A13" s="9" t="s">
        <v>114</v>
      </c>
      <c r="B13" s="9"/>
      <c r="C13" s="9"/>
      <c r="D13" s="9"/>
      <c r="E13" s="9"/>
      <c r="F13" s="9"/>
      <c r="G13" s="9"/>
    </row>
    <row r="14" ht="30" customHeight="1" spans="1:7">
      <c r="A14" s="6" t="s">
        <v>1</v>
      </c>
      <c r="B14" s="6" t="s">
        <v>2</v>
      </c>
      <c r="C14" s="6" t="s">
        <v>3</v>
      </c>
      <c r="D14" s="6" t="s">
        <v>4</v>
      </c>
      <c r="E14" s="6" t="s">
        <v>62</v>
      </c>
      <c r="F14" s="6" t="s">
        <v>63</v>
      </c>
      <c r="G14" s="6" t="s">
        <v>7</v>
      </c>
    </row>
    <row r="15" s="5" customFormat="1" ht="39" customHeight="1" spans="1:7">
      <c r="A15" s="9" t="s">
        <v>8</v>
      </c>
      <c r="B15" s="13" t="s">
        <v>115</v>
      </c>
      <c r="C15" s="14" t="s">
        <v>116</v>
      </c>
      <c r="D15" s="14">
        <v>6</v>
      </c>
      <c r="E15" s="15">
        <f>SUM(F16:F20)/D15</f>
        <v>1070.372</v>
      </c>
      <c r="F15" s="16">
        <f>ROUND(D15*E15,2)</f>
        <v>6422.23</v>
      </c>
      <c r="G15" s="9"/>
    </row>
    <row r="16" s="5" customFormat="1" ht="39" customHeight="1" spans="1:7">
      <c r="A16" s="9">
        <v>1</v>
      </c>
      <c r="B16" s="17" t="s">
        <v>117</v>
      </c>
      <c r="C16" s="18" t="s">
        <v>10</v>
      </c>
      <c r="D16" s="18">
        <f>(0.5+0.286)*D15</f>
        <v>4.716</v>
      </c>
      <c r="E16" s="18">
        <v>1100</v>
      </c>
      <c r="F16" s="19">
        <f t="shared" ref="F14:F20" si="1">D16*E16</f>
        <v>5187.6</v>
      </c>
      <c r="G16" s="9"/>
    </row>
    <row r="17" s="5" customFormat="1" ht="39" customHeight="1" spans="1:7">
      <c r="A17" s="9">
        <v>2</v>
      </c>
      <c r="B17" s="17" t="s">
        <v>94</v>
      </c>
      <c r="C17" s="18" t="s">
        <v>92</v>
      </c>
      <c r="D17" s="20">
        <f>(3.42+7.52)*D15/1000</f>
        <v>0.06564</v>
      </c>
      <c r="E17" s="18">
        <v>5800</v>
      </c>
      <c r="F17" s="19">
        <f t="shared" si="1"/>
        <v>380.712</v>
      </c>
      <c r="G17" s="9"/>
    </row>
    <row r="18" s="5" customFormat="1" ht="39" customHeight="1" spans="1:7">
      <c r="A18" s="9">
        <v>3</v>
      </c>
      <c r="B18" s="17" t="s">
        <v>118</v>
      </c>
      <c r="C18" s="18" t="s">
        <v>92</v>
      </c>
      <c r="D18" s="20">
        <f>(12.56+7.12+0.72+0.24)*D15/1000</f>
        <v>0.12384</v>
      </c>
      <c r="E18" s="18">
        <f>5800</f>
        <v>5800</v>
      </c>
      <c r="F18" s="19">
        <f t="shared" si="1"/>
        <v>718.272</v>
      </c>
      <c r="G18" s="9"/>
    </row>
    <row r="19" s="5" customFormat="1" ht="39" customHeight="1" spans="1:7">
      <c r="A19" s="9">
        <v>4</v>
      </c>
      <c r="B19" s="17" t="s">
        <v>119</v>
      </c>
      <c r="C19" s="18" t="s">
        <v>10</v>
      </c>
      <c r="D19" s="18">
        <v>0</v>
      </c>
      <c r="E19" s="18">
        <v>50</v>
      </c>
      <c r="F19" s="19">
        <f t="shared" si="1"/>
        <v>0</v>
      </c>
      <c r="G19" s="9"/>
    </row>
    <row r="20" s="5" customFormat="1" ht="39" customHeight="1" spans="1:7">
      <c r="A20" s="9">
        <v>5</v>
      </c>
      <c r="B20" s="17" t="s">
        <v>120</v>
      </c>
      <c r="C20" s="18" t="s">
        <v>121</v>
      </c>
      <c r="D20" s="18">
        <f>3.14*0.6*0.6</f>
        <v>1.1304</v>
      </c>
      <c r="E20" s="18">
        <v>120</v>
      </c>
      <c r="F20" s="19">
        <f t="shared" si="1"/>
        <v>135.648</v>
      </c>
      <c r="G20" s="9"/>
    </row>
  </sheetData>
  <mergeCells count="2">
    <mergeCell ref="A1:G1"/>
    <mergeCell ref="A13:G13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workbookViewId="0">
      <selection activeCell="C25" sqref="C25"/>
    </sheetView>
  </sheetViews>
  <sheetFormatPr defaultColWidth="9" defaultRowHeight="14.4" outlineLevelRow="6" outlineLevelCol="3"/>
  <cols>
    <col min="1" max="4" width="21.3796296296296" customWidth="1"/>
  </cols>
  <sheetData>
    <row r="1" s="1" customFormat="1" ht="39" customHeight="1" spans="1:4">
      <c r="A1" s="2" t="s">
        <v>122</v>
      </c>
      <c r="B1" s="2"/>
      <c r="C1" s="2"/>
      <c r="D1" s="2"/>
    </row>
    <row r="2" s="1" customFormat="1" ht="39" customHeight="1" spans="1:4">
      <c r="A2" s="2" t="s">
        <v>1</v>
      </c>
      <c r="B2" s="2" t="s">
        <v>123</v>
      </c>
      <c r="C2" s="2" t="s">
        <v>124</v>
      </c>
      <c r="D2" s="2" t="s">
        <v>7</v>
      </c>
    </row>
    <row r="3" s="1" customFormat="1" ht="39" customHeight="1" spans="1:4">
      <c r="A3" s="2">
        <v>1</v>
      </c>
      <c r="B3" s="2" t="s">
        <v>125</v>
      </c>
      <c r="C3" s="2" t="e">
        <f>G85涵洞清淤!#REF!</f>
        <v>#REF!</v>
      </c>
      <c r="D3" s="2"/>
    </row>
    <row r="4" s="1" customFormat="1" ht="39" customHeight="1" spans="1:4">
      <c r="A4" s="2">
        <v>2</v>
      </c>
      <c r="B4" s="2" t="s">
        <v>126</v>
      </c>
      <c r="C4" s="2">
        <f>'隔离栅 拆除 (2)'!F20</f>
        <v>41953.38</v>
      </c>
      <c r="D4" s="2"/>
    </row>
    <row r="5" s="1" customFormat="1" ht="39" customHeight="1" spans="1:4">
      <c r="A5" s="2">
        <v>3</v>
      </c>
      <c r="B5" s="2" t="s">
        <v>127</v>
      </c>
      <c r="C5" s="2">
        <f>防撞垫、标志牌!F3</f>
        <v>81628.17</v>
      </c>
      <c r="D5" s="2"/>
    </row>
    <row r="6" s="1" customFormat="1" ht="39" customHeight="1" spans="1:4">
      <c r="A6" s="2">
        <v>4</v>
      </c>
      <c r="B6" s="2" t="s">
        <v>128</v>
      </c>
      <c r="C6" s="2">
        <f>防撞垫、标志牌!F15</f>
        <v>6422.23</v>
      </c>
      <c r="D6" s="2"/>
    </row>
    <row r="7" s="1" customFormat="1" ht="39" customHeight="1" spans="1:4">
      <c r="A7" s="2" t="s">
        <v>13</v>
      </c>
      <c r="B7" s="2"/>
      <c r="C7" s="2" t="e">
        <f>SUM(C3:C6)</f>
        <v>#REF!</v>
      </c>
      <c r="D7" s="2"/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涵洞清淤 合计</vt:lpstr>
      <vt:lpstr>G85涵洞清淤</vt:lpstr>
      <vt:lpstr>S30涵洞清淤</vt:lpstr>
      <vt:lpstr>隔离栅 拆除 (2)</vt:lpstr>
      <vt:lpstr>防撞垫、标志牌</vt:lpstr>
      <vt:lpstr>汇总合计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明天</cp:lastModifiedBy>
  <dcterms:created xsi:type="dcterms:W3CDTF">2023-05-15T10:13:00Z</dcterms:created>
  <dcterms:modified xsi:type="dcterms:W3CDTF">2025-06-23T00:16:25Z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DF861552CFD74E2BBA00552775DD408E_13</vt:lpwstr>
  </property>
  <property fmtid="{D5CDD505-2E9C-101B-9397-08002B2CF9AE}" pid="3" name="KSOProductBuildVer">
    <vt:lpwstr>2052-12.1.0.21541</vt:lpwstr>
  </property>
</Properties>
</file>